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<sst xmlns="http://schemas.openxmlformats.org/spreadsheetml/2006/main" count="172" uniqueCount="144">
  <si>
    <t>Electric</t>
  </si>
  <si>
    <t>KW/hrs</t>
  </si>
  <si>
    <t>N. Gas</t>
  </si>
  <si>
    <t>Propane</t>
  </si>
  <si>
    <t>Gal</t>
  </si>
  <si>
    <t>Oil #1</t>
  </si>
  <si>
    <t>Oil #2</t>
  </si>
  <si>
    <t>Oil #4</t>
  </si>
  <si>
    <t>Oil #6</t>
  </si>
  <si>
    <t>Coal</t>
  </si>
  <si>
    <t>Pounds</t>
  </si>
  <si>
    <t>Wood</t>
  </si>
  <si>
    <t>Pellets</t>
  </si>
  <si>
    <t>Gasoline</t>
  </si>
  <si>
    <t>Ethanol</t>
  </si>
  <si>
    <t>Notes</t>
  </si>
  <si>
    <t>( 1 cord of dried hardwood is aprox 2500lbs)</t>
  </si>
  <si>
    <t>Consumed BTU</t>
  </si>
  <si>
    <t>Equal BTU in</t>
  </si>
  <si>
    <t>Consumed Units</t>
  </si>
  <si>
    <t>Unit</t>
  </si>
  <si>
    <t>Energy</t>
  </si>
  <si>
    <t>Electric kwh</t>
  </si>
  <si>
    <t>Propane gal</t>
  </si>
  <si>
    <t>Oil # 1  gal</t>
  </si>
  <si>
    <t>Oil # 2 gal</t>
  </si>
  <si>
    <t>Oil # 4 gal</t>
  </si>
  <si>
    <t>Oil # 6 gal</t>
  </si>
  <si>
    <t>Coal pounds</t>
  </si>
  <si>
    <t>Wood pounds</t>
  </si>
  <si>
    <t>Pellet pounds</t>
  </si>
  <si>
    <t>Gasoline gal</t>
  </si>
  <si>
    <t>Ethanol gal</t>
  </si>
  <si>
    <t>Cost of unit</t>
  </si>
  <si>
    <t>(1 therm of N gas = 100 cf or 1 CCF)</t>
  </si>
  <si>
    <t>Cost in electric</t>
  </si>
  <si>
    <t>Cost in N Gas</t>
  </si>
  <si>
    <t>Cost in Propane</t>
  </si>
  <si>
    <t>Cost in Oil # 1</t>
  </si>
  <si>
    <t>Cost in Oil # 2</t>
  </si>
  <si>
    <t>Cost in Oil # 4</t>
  </si>
  <si>
    <t>Cost in Oil # 6</t>
  </si>
  <si>
    <t>Cost in Coal</t>
  </si>
  <si>
    <t>Cost in Wood</t>
  </si>
  <si>
    <t>Cost in Pellets</t>
  </si>
  <si>
    <t>Cost in Gasoline</t>
  </si>
  <si>
    <t>Cost in Ethanol</t>
  </si>
  <si>
    <t>Costs in Other Fuels</t>
  </si>
  <si>
    <t xml:space="preserve"> </t>
  </si>
  <si>
    <t>( 1 gal of propane = 36.64 cubic feet)</t>
  </si>
  <si>
    <t>Conversions do not consider appliance efficiency</t>
  </si>
  <si>
    <t>Other Notes:</t>
  </si>
  <si>
    <t>There are a variety of coal types and each have exacting different BTU</t>
  </si>
  <si>
    <t>Wood could be in a varying BTU content base on type of wood and how well it has been dried</t>
  </si>
  <si>
    <t>To consider how much of your electric bill was used for heat, find a month that heating and cooling was at a minimum and subtract from a bill with heat.</t>
  </si>
  <si>
    <t>To obtain total actual cost of the energy, add the cost of delivery to cost of energy and divide by number of units of energy -</t>
  </si>
  <si>
    <t>EXAMPLE:</t>
  </si>
  <si>
    <t>My total Natural Gas bill was $27.52 and I used 17 ccf of Natural Gas ( $27.52 divided by 17 = $1.62 per CCF )</t>
  </si>
  <si>
    <t>My Electric bill was $22.78 and I used 240 kilowatt hours of electric ( $22.78 divided by 240 =  $ 0.0949 per kwh )</t>
  </si>
  <si>
    <t>OR the total delivered cost divided by units of energy billed.</t>
  </si>
  <si>
    <t>I have my own stock of wood but I paid $110 to cut/split/deliver to my home and spent 10 hours of my time for 4 cords of wood</t>
  </si>
  <si>
    <t>( $110 + ( wage per hour times 10 hours) divided by 4 cords = $ per cord ) you should count your time as a cost at least min wage.</t>
  </si>
  <si>
    <t>To get a closer cost of energy, it may be better to look at a friends bill who actually uses that energy than to call a provider for unit costs.</t>
  </si>
  <si>
    <t>Costs for delivery may vary between company and region hence add to your figures also</t>
  </si>
  <si>
    <t>You must provide unit cost for all energy you wish to compare.</t>
  </si>
  <si>
    <t>Rounded to nearest 10 cents</t>
  </si>
  <si>
    <t>Some areas may have taxes related to the fuel and/or its delivery.</t>
  </si>
  <si>
    <t>See instruction sheets and other notes not in this Doc.</t>
  </si>
  <si>
    <t>Please use only for comparison of BTU equiv costs</t>
  </si>
  <si>
    <t>Nat Gas ccf</t>
  </si>
  <si>
    <t>Energy efficiency of appliances</t>
  </si>
  <si>
    <t>Elect Baseboard</t>
  </si>
  <si>
    <t>Elect Force Air</t>
  </si>
  <si>
    <t>Unvented Kero #1</t>
  </si>
  <si>
    <t>Propane Unvented</t>
  </si>
  <si>
    <t>N Gas std F Air</t>
  </si>
  <si>
    <t>Prop F Air std</t>
  </si>
  <si>
    <t>Prop F Air High E</t>
  </si>
  <si>
    <t>Elect H Pump Air</t>
  </si>
  <si>
    <t>N Gas H Eff F Air</t>
  </si>
  <si>
    <t>N Gas Unvented</t>
  </si>
  <si>
    <t>Efficiency</t>
  </si>
  <si>
    <t>Oil H Eff F Air</t>
  </si>
  <si>
    <t>Would cost</t>
  </si>
  <si>
    <t>Unit Cost</t>
  </si>
  <si>
    <t>Oil</t>
  </si>
  <si>
    <t xml:space="preserve">Propane  </t>
  </si>
  <si>
    <t>Natural Gas</t>
  </si>
  <si>
    <t>Use conversion chart above to render equiv fuel units from what you now use.</t>
  </si>
  <si>
    <t>Propane Vented</t>
  </si>
  <si>
    <t>N Gas Vented</t>
  </si>
  <si>
    <t>Consume</t>
  </si>
  <si>
    <t>If you now use electric heat pump of any sort, do not use this sheet (you would need to reverse convert eff to cost)</t>
  </si>
  <si>
    <t>A special note about heat pumps</t>
  </si>
  <si>
    <t>The efficiency listed here for heat pumps (air and geothermal) are from the dept of energy but the actual efficiency of Air base heat pumps</t>
  </si>
  <si>
    <t>is really dependant on the temperature of the air (i.e. not vary efficient with avg air temp below 45 deg F.)</t>
  </si>
  <si>
    <t>So please take some time to think about how many items there are to consider about actual BTU content and efficiencies of anything as</t>
  </si>
  <si>
    <t>Hopefully this sheet will help you resolve issues a little faster and or for your own peace of mind.</t>
  </si>
  <si>
    <t>You Now</t>
  </si>
  <si>
    <t>New</t>
  </si>
  <si>
    <t>Oil F Air std</t>
  </si>
  <si>
    <t>As your mother may have told you… "don't put all your eggs in ne basket",</t>
  </si>
  <si>
    <t>I have given some thought to this as applied to energy. Do to the fluctuations of the cost of fossil fuel,</t>
  </si>
  <si>
    <t>it seems best to have a multi-fuel heating ability. And at the time of constructing this tool,</t>
  </si>
  <si>
    <t>(or oil/gas/propane as a back-up in the case of a electrical "black-out")</t>
  </si>
  <si>
    <t>kw/gal/ccf</t>
  </si>
  <si>
    <t>BTU Content of Sunlight</t>
  </si>
  <si>
    <t>Full Sunlight</t>
  </si>
  <si>
    <t>Nat. Avg</t>
  </si>
  <si>
    <t>( sq. ft. )</t>
  </si>
  <si>
    <t>in Square Feet</t>
  </si>
  <si>
    <t>Sun Collected</t>
  </si>
  <si>
    <t>Hours</t>
  </si>
  <si>
    <t>Collected</t>
  </si>
  <si>
    <t>I hope the information below will help you consider some form of solar augmentations to your heating arrangement.</t>
  </si>
  <si>
    <t>Nat Avg</t>
  </si>
  <si>
    <t>BTU</t>
  </si>
  <si>
    <t>Max</t>
  </si>
  <si>
    <t>Avg. Daily</t>
  </si>
  <si>
    <t>&lt;&lt;&lt;&lt;&lt;Daily&gt;&gt;&gt;&gt;&gt;&gt;&gt;&gt;</t>
  </si>
  <si>
    <t>The trick for you is to calculate your collected sunlight. (These numbers would not include any system loss)</t>
  </si>
  <si>
    <t>&lt;&lt;&lt;&lt;&lt;Monthly&gt;&gt;&gt;&gt;&gt;&gt;&gt;</t>
  </si>
  <si>
    <t>My propane bill was $430.00 and had a delivery charge of $35.00 for 200 gal of propane ( $430 + $35 = $465 divided by 200 gal = $ 2.325 per gal )</t>
  </si>
  <si>
    <t>Use Red Lines below and adjust unit cost-consumed and efficiency to render cost. This way you may use items not listed if you have the data.</t>
  </si>
  <si>
    <t>many energy suppliers or heating appliance manufactures will use old or outdated costs for comparison.</t>
  </si>
  <si>
    <t>Just some words of thought…</t>
  </si>
  <si>
    <t>(these costs of delivery should be weighed for cost efficiency but not energy efficiency)</t>
  </si>
  <si>
    <t>Heating BTU Conversion SpreadSheet by Mike Mays</t>
  </si>
  <si>
    <t>( 1 ton = 2000 lbs)</t>
  </si>
  <si>
    <t>Butanol</t>
  </si>
  <si>
    <t>Butanol gal</t>
  </si>
  <si>
    <t>Cost in Butanol</t>
  </si>
  <si>
    <t>These examples listed above are given to show hidden costs of energy to provide a better apples to apples costs to you.</t>
  </si>
  <si>
    <t>Elect H P Geothermal</t>
  </si>
  <si>
    <t>A properly designed geothermal system will have a constant return water temp of over 45 deg F.</t>
  </si>
  <si>
    <t>better to have a fossil fuel and electric form of heat as a option in the case of a erratic cost increase of fossil fuel.</t>
  </si>
  <si>
    <t>Most Energy Unit Data provided by US Dept of Energy</t>
  </si>
  <si>
    <t>By using this sheet, you accept the fact it may contain errors and is only a guide.</t>
  </si>
  <si>
    <t>Better to compare 1 month of consumed fuel or average 3 months.</t>
  </si>
  <si>
    <t>Some Heating Oil suppliers blend #2 &amp; #4 oil depending on season &amp; location. Ask your supplier.</t>
  </si>
  <si>
    <t>CCF (therm)</t>
  </si>
  <si>
    <t>Go to www.midnighteng.com for revisions or comments</t>
  </si>
  <si>
    <t>Please only input data to Consumed Units &amp; Cost of unit</t>
  </si>
  <si>
    <t>Then input consumed units of the type you are now using.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</si>
</sst>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workbookViewId="0" topLeftCell="A1">
      <selection activeCell="K5" sqref="K5"/>
    </sheetView>
  </sheetViews>
  <sheetFormatPr defaultColWidth="9.140625" defaultRowHeight="12.75"/>
  <cols>
    <col min="1" max="1" width="15.140625" style="0" customWidth="1"/>
    <col min="2" max="3" width="12.00390625" style="0" customWidth="1"/>
    <col min="4" max="4" width="11.421875" style="0" customWidth="1"/>
    <col min="5" max="6" width="11.5742187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1.140625" style="0" customWidth="1"/>
    <col min="11" max="11" width="11.57421875" style="0" customWidth="1"/>
    <col min="12" max="13" width="12.140625" style="0" customWidth="1"/>
    <col min="14" max="14" width="11.140625" style="0" customWidth="1"/>
  </cols>
  <sheetData>
    <row r="1" spans="1:8" ht="12.75">
      <c r="A1" s="18" t="s">
        <v>137</v>
      </c>
      <c r="H1" s="18" t="s">
        <v>141</v>
      </c>
    </row>
    <row r="2" ht="12.75">
      <c r="A2" s="18"/>
    </row>
    <row r="3" ht="12.75">
      <c r="A3" s="19" t="s">
        <v>142</v>
      </c>
    </row>
    <row r="5" spans="1:8" ht="12.75">
      <c r="A5" s="20" t="s">
        <v>48</v>
      </c>
      <c r="B5" s="17" t="s">
        <v>127</v>
      </c>
      <c r="C5" s="18"/>
      <c r="D5" s="18"/>
      <c r="E5" s="18"/>
      <c r="F5" s="18"/>
      <c r="G5" t="s">
        <v>15</v>
      </c>
      <c r="H5" t="s">
        <v>16</v>
      </c>
    </row>
    <row r="6" spans="2:8" ht="12.75">
      <c r="B6" s="17" t="s">
        <v>136</v>
      </c>
      <c r="C6" s="18"/>
      <c r="D6" s="18"/>
      <c r="E6" s="18"/>
      <c r="F6" s="18"/>
      <c r="H6" t="s">
        <v>34</v>
      </c>
    </row>
    <row r="7" spans="2:8" ht="12.75">
      <c r="B7" s="17" t="s">
        <v>67</v>
      </c>
      <c r="C7" s="18"/>
      <c r="D7" s="18"/>
      <c r="E7" s="18"/>
      <c r="F7" s="18"/>
      <c r="H7" t="s">
        <v>49</v>
      </c>
    </row>
    <row r="8" spans="2:8" ht="12.75">
      <c r="B8" s="17" t="s">
        <v>50</v>
      </c>
      <c r="C8" s="18"/>
      <c r="D8" s="18"/>
      <c r="E8" s="18"/>
      <c r="F8" s="18"/>
      <c r="H8" t="s">
        <v>128</v>
      </c>
    </row>
    <row r="9" spans="2:6" ht="12.75">
      <c r="B9" s="17"/>
      <c r="C9" s="18"/>
      <c r="D9" s="18"/>
      <c r="E9" s="18"/>
      <c r="F9" s="18"/>
    </row>
    <row r="10" spans="1:6" ht="12.75">
      <c r="A10" t="s">
        <v>64</v>
      </c>
      <c r="B10" s="17"/>
      <c r="C10" s="18"/>
      <c r="D10" s="18"/>
      <c r="E10" s="18"/>
      <c r="F10" s="18" t="s">
        <v>138</v>
      </c>
    </row>
    <row r="11" spans="1:6" ht="12.75">
      <c r="A11" s="26" t="s">
        <v>143</v>
      </c>
      <c r="B11" s="17"/>
      <c r="C11" s="18"/>
      <c r="D11" s="18"/>
      <c r="E11" s="18"/>
      <c r="F11" s="18"/>
    </row>
    <row r="13" spans="1:14" ht="12.75">
      <c r="A13" s="21" t="s">
        <v>21</v>
      </c>
      <c r="B13" s="18" t="s">
        <v>0</v>
      </c>
      <c r="C13" s="18" t="s">
        <v>2</v>
      </c>
      <c r="D13" s="18" t="s">
        <v>3</v>
      </c>
      <c r="E13" s="18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11</v>
      </c>
      <c r="K13" s="18" t="s">
        <v>12</v>
      </c>
      <c r="L13" s="18" t="s">
        <v>13</v>
      </c>
      <c r="M13" s="18" t="s">
        <v>129</v>
      </c>
      <c r="N13" s="18" t="s">
        <v>14</v>
      </c>
    </row>
    <row r="14" spans="1:14" ht="12.75">
      <c r="A14" s="21" t="s">
        <v>20</v>
      </c>
      <c r="B14" s="18" t="s">
        <v>1</v>
      </c>
      <c r="C14" s="18" t="s">
        <v>140</v>
      </c>
      <c r="D14" s="18" t="s">
        <v>4</v>
      </c>
      <c r="E14" s="18" t="s">
        <v>4</v>
      </c>
      <c r="F14" s="18" t="s">
        <v>4</v>
      </c>
      <c r="G14" s="18" t="s">
        <v>4</v>
      </c>
      <c r="H14" s="18" t="s">
        <v>4</v>
      </c>
      <c r="I14" s="18" t="s">
        <v>10</v>
      </c>
      <c r="J14" s="18" t="s">
        <v>10</v>
      </c>
      <c r="K14" s="18" t="s">
        <v>10</v>
      </c>
      <c r="L14" s="18" t="s">
        <v>4</v>
      </c>
      <c r="M14" s="18" t="s">
        <v>4</v>
      </c>
      <c r="N14" s="18" t="s">
        <v>4</v>
      </c>
    </row>
    <row r="15" spans="1:14" ht="12.75">
      <c r="A15" s="19" t="s">
        <v>19</v>
      </c>
      <c r="B15" s="2">
        <v>30000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2" t="s">
        <v>33</v>
      </c>
      <c r="B16" s="3">
        <v>0.0965</v>
      </c>
      <c r="C16" s="3">
        <v>1.327</v>
      </c>
      <c r="D16" s="3">
        <v>3.49</v>
      </c>
      <c r="E16" s="3">
        <v>3.19</v>
      </c>
      <c r="F16" s="3">
        <v>3.19</v>
      </c>
      <c r="G16" s="3"/>
      <c r="H16" s="3"/>
      <c r="I16" s="3">
        <v>0.045</v>
      </c>
      <c r="J16" s="3"/>
      <c r="K16" s="3"/>
      <c r="L16" s="3"/>
      <c r="M16" s="3"/>
      <c r="N16" s="3"/>
    </row>
    <row r="17" spans="1:14" ht="12.75">
      <c r="A17" s="25" t="s">
        <v>17</v>
      </c>
      <c r="B17" s="25">
        <f>B15*3412</f>
        <v>102360000</v>
      </c>
      <c r="C17" s="25">
        <f>C15*103000</f>
        <v>0</v>
      </c>
      <c r="D17" s="25">
        <f>D15*91600</f>
        <v>0</v>
      </c>
      <c r="E17" s="25">
        <f>E15*135000</f>
        <v>0</v>
      </c>
      <c r="F17" s="25">
        <f>F15*138000</f>
        <v>0</v>
      </c>
      <c r="G17" s="25">
        <f>G15*145000</f>
        <v>0</v>
      </c>
      <c r="H17" s="25">
        <f>H15*150000</f>
        <v>0</v>
      </c>
      <c r="I17" s="25">
        <f>I15*14000</f>
        <v>0</v>
      </c>
      <c r="J17" s="25">
        <f>J15*8000</f>
        <v>0</v>
      </c>
      <c r="K17" s="25">
        <f>K15*8250</f>
        <v>0</v>
      </c>
      <c r="L17" s="25">
        <f>L15*125000</f>
        <v>0</v>
      </c>
      <c r="M17" s="25">
        <f>M15*104800</f>
        <v>0</v>
      </c>
      <c r="N17" s="25">
        <f>N15*76000</f>
        <v>0</v>
      </c>
    </row>
    <row r="19" ht="12.75">
      <c r="A19" s="18" t="s">
        <v>18</v>
      </c>
    </row>
    <row r="20" spans="1:14" ht="12.75">
      <c r="A20" s="5" t="s">
        <v>22</v>
      </c>
      <c r="B20" s="6">
        <f aca="true" t="shared" si="0" ref="B20:N20">B17/3412</f>
        <v>30000</v>
      </c>
      <c r="C20" s="6">
        <f t="shared" si="0"/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>M17/3412</f>
        <v>0</v>
      </c>
      <c r="N20" s="6">
        <f t="shared" si="0"/>
        <v>0</v>
      </c>
    </row>
    <row r="21" spans="1:14" ht="12.75">
      <c r="A21" s="7" t="s">
        <v>69</v>
      </c>
      <c r="B21" s="8">
        <f aca="true" t="shared" si="1" ref="B21:N21">B17/103000</f>
        <v>993.7864077669902</v>
      </c>
      <c r="C21" s="8">
        <f t="shared" si="1"/>
        <v>0</v>
      </c>
      <c r="D21" s="8">
        <f t="shared" si="1"/>
        <v>0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>M17/103000</f>
        <v>0</v>
      </c>
      <c r="N21" s="8">
        <f t="shared" si="1"/>
        <v>0</v>
      </c>
    </row>
    <row r="22" spans="1:14" ht="12.75">
      <c r="A22" s="9" t="s">
        <v>23</v>
      </c>
      <c r="B22" s="10">
        <f aca="true" t="shared" si="2" ref="B22:N22">B17/91600</f>
        <v>1117.467248908297</v>
      </c>
      <c r="C22" s="10">
        <f t="shared" si="2"/>
        <v>0</v>
      </c>
      <c r="D22" s="10">
        <f t="shared" si="2"/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>M17/91000</f>
        <v>0</v>
      </c>
      <c r="N22" s="10">
        <f t="shared" si="2"/>
        <v>0</v>
      </c>
    </row>
    <row r="23" spans="1:14" ht="12.75">
      <c r="A23" s="11" t="s">
        <v>24</v>
      </c>
      <c r="B23" s="12">
        <f aca="true" t="shared" si="3" ref="B23:N23">B17/135000</f>
        <v>758.2222222222222</v>
      </c>
      <c r="C23" s="12">
        <f t="shared" si="3"/>
        <v>0</v>
      </c>
      <c r="D23" s="12">
        <f t="shared" si="3"/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>M17/135000</f>
        <v>0</v>
      </c>
      <c r="N23" s="12">
        <f t="shared" si="3"/>
        <v>0</v>
      </c>
    </row>
    <row r="24" spans="1:14" ht="12.75">
      <c r="A24" s="5" t="s">
        <v>25</v>
      </c>
      <c r="B24" s="6">
        <f aca="true" t="shared" si="4" ref="B24:N24">B17/138000</f>
        <v>741.7391304347826</v>
      </c>
      <c r="C24" s="6">
        <f t="shared" si="4"/>
        <v>0</v>
      </c>
      <c r="D24" s="6">
        <f t="shared" si="4"/>
        <v>0</v>
      </c>
      <c r="E24" s="6">
        <f t="shared" si="4"/>
        <v>0</v>
      </c>
      <c r="F24" s="6">
        <f t="shared" si="4"/>
        <v>0</v>
      </c>
      <c r="G24" s="6">
        <f t="shared" si="4"/>
        <v>0</v>
      </c>
      <c r="H24" s="6">
        <f t="shared" si="4"/>
        <v>0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>M17/138000</f>
        <v>0</v>
      </c>
      <c r="N24" s="6">
        <f t="shared" si="4"/>
        <v>0</v>
      </c>
    </row>
    <row r="25" spans="1:14" ht="12.75">
      <c r="A25" s="13" t="s">
        <v>26</v>
      </c>
      <c r="B25" s="14">
        <f aca="true" t="shared" si="5" ref="B25:N25">B17/145000</f>
        <v>705.9310344827586</v>
      </c>
      <c r="C25" s="14">
        <f t="shared" si="5"/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>M17/145000</f>
        <v>0</v>
      </c>
      <c r="N25" s="14">
        <f t="shared" si="5"/>
        <v>0</v>
      </c>
    </row>
    <row r="26" spans="1:14" ht="12.75">
      <c r="A26" s="9" t="s">
        <v>27</v>
      </c>
      <c r="B26" s="10">
        <f aca="true" t="shared" si="6" ref="B26:N26">B17/150000</f>
        <v>682.4</v>
      </c>
      <c r="C26" s="10">
        <f t="shared" si="6"/>
        <v>0</v>
      </c>
      <c r="D26" s="10">
        <f t="shared" si="6"/>
        <v>0</v>
      </c>
      <c r="E26" s="10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 t="shared" si="6"/>
        <v>0</v>
      </c>
      <c r="L26" s="10">
        <f t="shared" si="6"/>
        <v>0</v>
      </c>
      <c r="M26" s="10">
        <f>M17/150000</f>
        <v>0</v>
      </c>
      <c r="N26" s="10">
        <f t="shared" si="6"/>
        <v>0</v>
      </c>
    </row>
    <row r="27" spans="1:14" ht="12.75">
      <c r="A27" s="15" t="s">
        <v>28</v>
      </c>
      <c r="B27" s="16">
        <f aca="true" t="shared" si="7" ref="B27:N27">B17/14000</f>
        <v>7311.428571428572</v>
      </c>
      <c r="C27" s="16">
        <f t="shared" si="7"/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>M17/14000</f>
        <v>0</v>
      </c>
      <c r="N27" s="16">
        <f t="shared" si="7"/>
        <v>0</v>
      </c>
    </row>
    <row r="28" spans="1:14" ht="12.75">
      <c r="A28" s="5" t="s">
        <v>29</v>
      </c>
      <c r="B28" s="6">
        <f aca="true" t="shared" si="8" ref="B28:N28">B17/8000</f>
        <v>12795</v>
      </c>
      <c r="C28" s="6">
        <f t="shared" si="8"/>
        <v>0</v>
      </c>
      <c r="D28" s="6">
        <f t="shared" si="8"/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  <c r="I28" s="6">
        <f t="shared" si="8"/>
        <v>0</v>
      </c>
      <c r="J28" s="6">
        <f t="shared" si="8"/>
        <v>0</v>
      </c>
      <c r="K28" s="6">
        <f t="shared" si="8"/>
        <v>0</v>
      </c>
      <c r="L28" s="6">
        <f t="shared" si="8"/>
        <v>0</v>
      </c>
      <c r="M28" s="6">
        <f>M17/8000</f>
        <v>0</v>
      </c>
      <c r="N28" s="6">
        <f t="shared" si="8"/>
        <v>0</v>
      </c>
    </row>
    <row r="29" spans="1:14" ht="12.75">
      <c r="A29" s="13" t="s">
        <v>30</v>
      </c>
      <c r="B29" s="14">
        <f>B17/8250</f>
        <v>12407.272727272728</v>
      </c>
      <c r="C29" s="14">
        <f>C17/8250</f>
        <v>0</v>
      </c>
      <c r="D29" s="14">
        <f>D17/8250</f>
        <v>0</v>
      </c>
      <c r="E29" s="14">
        <f>E17/8250</f>
        <v>0</v>
      </c>
      <c r="F29" s="14">
        <f>F17/8000</f>
        <v>0</v>
      </c>
      <c r="G29" s="14">
        <f aca="true" t="shared" si="9" ref="G29:N29">G17/8250</f>
        <v>0</v>
      </c>
      <c r="H29" s="14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>M17/8250</f>
        <v>0</v>
      </c>
      <c r="N29" s="14">
        <f t="shared" si="9"/>
        <v>0</v>
      </c>
    </row>
    <row r="30" spans="1:14" ht="12.75">
      <c r="A30" s="9" t="s">
        <v>31</v>
      </c>
      <c r="B30" s="10">
        <f aca="true" t="shared" si="10" ref="B30:N30">B17/125000</f>
        <v>818.88</v>
      </c>
      <c r="C30" s="10">
        <f t="shared" si="10"/>
        <v>0</v>
      </c>
      <c r="D30" s="10">
        <f t="shared" si="10"/>
        <v>0</v>
      </c>
      <c r="E30" s="10">
        <f t="shared" si="10"/>
        <v>0</v>
      </c>
      <c r="F30" s="10">
        <f t="shared" si="10"/>
        <v>0</v>
      </c>
      <c r="G30" s="10">
        <f t="shared" si="10"/>
        <v>0</v>
      </c>
      <c r="H30" s="10">
        <f t="shared" si="10"/>
        <v>0</v>
      </c>
      <c r="I30" s="10">
        <f t="shared" si="10"/>
        <v>0</v>
      </c>
      <c r="J30" s="10">
        <f t="shared" si="10"/>
        <v>0</v>
      </c>
      <c r="K30" s="10">
        <f t="shared" si="10"/>
        <v>0</v>
      </c>
      <c r="L30" s="10">
        <f t="shared" si="10"/>
        <v>0</v>
      </c>
      <c r="M30" s="10">
        <f>M17/125000</f>
        <v>0</v>
      </c>
      <c r="N30" s="10">
        <f t="shared" si="10"/>
        <v>0</v>
      </c>
    </row>
    <row r="31" spans="1:14" ht="12.75">
      <c r="A31" s="15" t="s">
        <v>130</v>
      </c>
      <c r="B31" s="16">
        <f aca="true" t="shared" si="11" ref="B31:N31">B17/104800</f>
        <v>976.7175572519084</v>
      </c>
      <c r="C31" s="16">
        <f t="shared" si="11"/>
        <v>0</v>
      </c>
      <c r="D31" s="16">
        <f t="shared" si="11"/>
        <v>0</v>
      </c>
      <c r="E31" s="16">
        <f t="shared" si="11"/>
        <v>0</v>
      </c>
      <c r="F31" s="16">
        <f t="shared" si="11"/>
        <v>0</v>
      </c>
      <c r="G31" s="16">
        <f t="shared" si="11"/>
        <v>0</v>
      </c>
      <c r="H31" s="16">
        <f t="shared" si="11"/>
        <v>0</v>
      </c>
      <c r="I31" s="16">
        <f t="shared" si="11"/>
        <v>0</v>
      </c>
      <c r="J31" s="16">
        <f t="shared" si="11"/>
        <v>0</v>
      </c>
      <c r="K31" s="16">
        <f t="shared" si="11"/>
        <v>0</v>
      </c>
      <c r="L31" s="16">
        <f t="shared" si="11"/>
        <v>0</v>
      </c>
      <c r="M31" s="16">
        <f t="shared" si="11"/>
        <v>0</v>
      </c>
      <c r="N31" s="16">
        <f t="shared" si="11"/>
        <v>0</v>
      </c>
    </row>
    <row r="32" spans="1:14" ht="12.75">
      <c r="A32" s="5" t="s">
        <v>32</v>
      </c>
      <c r="B32" s="6">
        <f aca="true" t="shared" si="12" ref="B32:N32">B17/76000</f>
        <v>1346.842105263158</v>
      </c>
      <c r="C32" s="6">
        <f t="shared" si="12"/>
        <v>0</v>
      </c>
      <c r="D32" s="6">
        <f t="shared" si="12"/>
        <v>0</v>
      </c>
      <c r="E32" s="6">
        <f t="shared" si="12"/>
        <v>0</v>
      </c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>M17/76000</f>
        <v>0</v>
      </c>
      <c r="N32" s="6">
        <f t="shared" si="12"/>
        <v>0</v>
      </c>
    </row>
    <row r="34" spans="1:3" ht="12.75">
      <c r="A34" s="18" t="s">
        <v>47</v>
      </c>
      <c r="C34" t="s">
        <v>65</v>
      </c>
    </row>
    <row r="35" spans="1:14" ht="12.75">
      <c r="A35" s="5" t="s">
        <v>35</v>
      </c>
      <c r="B35" s="6">
        <f>B16*B20</f>
        <v>2895</v>
      </c>
      <c r="C35" s="6">
        <f>B16*C20</f>
        <v>0</v>
      </c>
      <c r="D35" s="6">
        <f>B16*D20</f>
        <v>0</v>
      </c>
      <c r="E35" s="6">
        <f>B16*E20</f>
        <v>0</v>
      </c>
      <c r="F35" s="6">
        <f>B16*F20</f>
        <v>0</v>
      </c>
      <c r="G35" s="6">
        <f>B16*G20</f>
        <v>0</v>
      </c>
      <c r="H35" s="6">
        <f>B16*H20</f>
        <v>0</v>
      </c>
      <c r="I35" s="6">
        <f>B16*I20</f>
        <v>0</v>
      </c>
      <c r="J35" s="6">
        <f>B16*J20</f>
        <v>0</v>
      </c>
      <c r="K35" s="6">
        <f>B16*K20</f>
        <v>0</v>
      </c>
      <c r="L35" s="6">
        <f>B16*L20</f>
        <v>0</v>
      </c>
      <c r="M35" s="6">
        <f>B16*M20</f>
        <v>0</v>
      </c>
      <c r="N35" s="6">
        <f>B16*N20</f>
        <v>0</v>
      </c>
    </row>
    <row r="36" spans="1:14" ht="12.75">
      <c r="A36" s="7" t="s">
        <v>36</v>
      </c>
      <c r="B36" s="8">
        <f>C16*B21</f>
        <v>1318.754563106796</v>
      </c>
      <c r="C36" s="8">
        <f>C16*C21</f>
        <v>0</v>
      </c>
      <c r="D36" s="8">
        <f>C16*D21</f>
        <v>0</v>
      </c>
      <c r="E36" s="8">
        <f>C16*E21</f>
        <v>0</v>
      </c>
      <c r="F36" s="8">
        <f>C16*F21</f>
        <v>0</v>
      </c>
      <c r="G36" s="8">
        <f>C16*G21</f>
        <v>0</v>
      </c>
      <c r="H36" s="8">
        <f>C16*H21</f>
        <v>0</v>
      </c>
      <c r="I36" s="8">
        <f>C16*I21</f>
        <v>0</v>
      </c>
      <c r="J36" s="8">
        <f>C16*J21</f>
        <v>0</v>
      </c>
      <c r="K36" s="8">
        <f>C16*K21</f>
        <v>0</v>
      </c>
      <c r="L36" s="8">
        <f>C16*L21</f>
        <v>0</v>
      </c>
      <c r="M36" s="8">
        <f>C16*M21</f>
        <v>0</v>
      </c>
      <c r="N36" s="8">
        <f>C16*N21</f>
        <v>0</v>
      </c>
    </row>
    <row r="37" spans="1:14" ht="12.75">
      <c r="A37" s="9" t="s">
        <v>37</v>
      </c>
      <c r="B37" s="10">
        <f>D16*B22</f>
        <v>3899.960698689957</v>
      </c>
      <c r="C37" s="10">
        <f>D16*C22</f>
        <v>0</v>
      </c>
      <c r="D37" s="10">
        <f>D16*D22</f>
        <v>0</v>
      </c>
      <c r="E37" s="10">
        <f>D16*E22</f>
        <v>0</v>
      </c>
      <c r="F37" s="10">
        <f>D16*F22</f>
        <v>0</v>
      </c>
      <c r="G37" s="10">
        <f>D16*G22</f>
        <v>0</v>
      </c>
      <c r="H37" s="10">
        <f>D16*H22</f>
        <v>0</v>
      </c>
      <c r="I37" s="10">
        <f>D16*I22</f>
        <v>0</v>
      </c>
      <c r="J37" s="10">
        <f>D16*J22</f>
        <v>0</v>
      </c>
      <c r="K37" s="10">
        <f>D16*K22</f>
        <v>0</v>
      </c>
      <c r="L37" s="10">
        <f>D16*L22</f>
        <v>0</v>
      </c>
      <c r="M37" s="10">
        <f>D16*M22</f>
        <v>0</v>
      </c>
      <c r="N37" s="10">
        <f>D16*N22</f>
        <v>0</v>
      </c>
    </row>
    <row r="38" spans="1:14" ht="12.75">
      <c r="A38" s="11" t="s">
        <v>38</v>
      </c>
      <c r="B38" s="12">
        <f>E16*B23</f>
        <v>2418.728888888889</v>
      </c>
      <c r="C38" s="12">
        <f>E16*C23</f>
        <v>0</v>
      </c>
      <c r="D38" s="12">
        <f>E16*D23</f>
        <v>0</v>
      </c>
      <c r="E38" s="12">
        <f>E16*E23</f>
        <v>0</v>
      </c>
      <c r="F38" s="12">
        <f>E16*F23</f>
        <v>0</v>
      </c>
      <c r="G38" s="12">
        <f>E16*G23</f>
        <v>0</v>
      </c>
      <c r="H38" s="12">
        <f>E16*H23</f>
        <v>0</v>
      </c>
      <c r="I38" s="12">
        <f>E16*I23</f>
        <v>0</v>
      </c>
      <c r="J38" s="12">
        <f>E16*J23</f>
        <v>0</v>
      </c>
      <c r="K38" s="12">
        <f>E16*K23</f>
        <v>0</v>
      </c>
      <c r="L38" s="12">
        <f>E16*L23</f>
        <v>0</v>
      </c>
      <c r="M38" s="12">
        <f>E16*M23</f>
        <v>0</v>
      </c>
      <c r="N38" s="12">
        <f>E16*N23</f>
        <v>0</v>
      </c>
    </row>
    <row r="39" spans="1:14" ht="12.75">
      <c r="A39" s="5" t="s">
        <v>39</v>
      </c>
      <c r="B39" s="6">
        <f>F16*B24</f>
        <v>2366.1478260869567</v>
      </c>
      <c r="C39" s="6">
        <f>F16*C24</f>
        <v>0</v>
      </c>
      <c r="D39" s="6">
        <f>F16*D24</f>
        <v>0</v>
      </c>
      <c r="E39" s="6">
        <f>F16*E24</f>
        <v>0</v>
      </c>
      <c r="F39" s="6">
        <f>F16*F24</f>
        <v>0</v>
      </c>
      <c r="G39" s="6">
        <f>F16*G24</f>
        <v>0</v>
      </c>
      <c r="H39" s="6">
        <f>F16*H24</f>
        <v>0</v>
      </c>
      <c r="I39" s="6">
        <f>F16*I24</f>
        <v>0</v>
      </c>
      <c r="J39" s="6">
        <f>F16*J24</f>
        <v>0</v>
      </c>
      <c r="K39" s="6">
        <f>F16*K24</f>
        <v>0</v>
      </c>
      <c r="L39" s="6">
        <f>F16*L24</f>
        <v>0</v>
      </c>
      <c r="M39" s="6">
        <f>F16*M24</f>
        <v>0</v>
      </c>
      <c r="N39" s="6">
        <f>F16*N24</f>
        <v>0</v>
      </c>
    </row>
    <row r="40" spans="1:14" ht="12.75">
      <c r="A40" s="13" t="s">
        <v>40</v>
      </c>
      <c r="B40" s="14">
        <f>G16*B25</f>
        <v>0</v>
      </c>
      <c r="C40" s="14">
        <f>G16*C25</f>
        <v>0</v>
      </c>
      <c r="D40" s="14">
        <f>G16*D25</f>
        <v>0</v>
      </c>
      <c r="E40" s="14">
        <f>G16*E25</f>
        <v>0</v>
      </c>
      <c r="F40" s="14">
        <f>G16*F25</f>
        <v>0</v>
      </c>
      <c r="G40" s="14">
        <f>G16*G25</f>
        <v>0</v>
      </c>
      <c r="H40" s="14">
        <f>G16*H25</f>
        <v>0</v>
      </c>
      <c r="I40" s="14">
        <f>G16*I25</f>
        <v>0</v>
      </c>
      <c r="J40" s="14">
        <f>G16*J25</f>
        <v>0</v>
      </c>
      <c r="K40" s="14">
        <f>G16*K25</f>
        <v>0</v>
      </c>
      <c r="L40" s="14">
        <f>G16*L25</f>
        <v>0</v>
      </c>
      <c r="M40" s="14">
        <f>G16*M25</f>
        <v>0</v>
      </c>
      <c r="N40" s="14">
        <f>G16*N25</f>
        <v>0</v>
      </c>
    </row>
    <row r="41" spans="1:14" ht="12.75">
      <c r="A41" s="9" t="s">
        <v>41</v>
      </c>
      <c r="B41" s="10">
        <f>H16*B26</f>
        <v>0</v>
      </c>
      <c r="C41" s="10">
        <f>H16*C26</f>
        <v>0</v>
      </c>
      <c r="D41" s="10">
        <f>H16*D26</f>
        <v>0</v>
      </c>
      <c r="E41" s="10">
        <f>H16*E26</f>
        <v>0</v>
      </c>
      <c r="F41" s="10">
        <f>H16*F26</f>
        <v>0</v>
      </c>
      <c r="G41" s="10">
        <f>H16*G26</f>
        <v>0</v>
      </c>
      <c r="H41" s="10">
        <f>H16*H26</f>
        <v>0</v>
      </c>
      <c r="I41" s="10">
        <f>H16*I26</f>
        <v>0</v>
      </c>
      <c r="J41" s="10">
        <f>H16*J26</f>
        <v>0</v>
      </c>
      <c r="K41" s="10">
        <f>H16*K26</f>
        <v>0</v>
      </c>
      <c r="L41" s="10">
        <f>H16*L26</f>
        <v>0</v>
      </c>
      <c r="M41" s="10">
        <f>H16*M26</f>
        <v>0</v>
      </c>
      <c r="N41" s="10">
        <f>H16*N26</f>
        <v>0</v>
      </c>
    </row>
    <row r="42" spans="1:14" ht="12.75">
      <c r="A42" s="15" t="s">
        <v>42</v>
      </c>
      <c r="B42" s="16">
        <f>I16*B27</f>
        <v>329.01428571428573</v>
      </c>
      <c r="C42" s="16">
        <f>I16*C27</f>
        <v>0</v>
      </c>
      <c r="D42" s="16">
        <f>I16*D27</f>
        <v>0</v>
      </c>
      <c r="E42" s="16">
        <f>I16*E27</f>
        <v>0</v>
      </c>
      <c r="F42" s="16">
        <f>I16*F27</f>
        <v>0</v>
      </c>
      <c r="G42" s="16">
        <f>I16*G27</f>
        <v>0</v>
      </c>
      <c r="H42" s="16">
        <f>I16*H27</f>
        <v>0</v>
      </c>
      <c r="I42" s="16">
        <f>I16*I27</f>
        <v>0</v>
      </c>
      <c r="J42" s="16">
        <f>I16*J27</f>
        <v>0</v>
      </c>
      <c r="K42" s="16">
        <f>I16*K27</f>
        <v>0</v>
      </c>
      <c r="L42" s="16">
        <f>I16*L27</f>
        <v>0</v>
      </c>
      <c r="M42" s="16">
        <f>I16*M27</f>
        <v>0</v>
      </c>
      <c r="N42" s="16">
        <f>I16*N27</f>
        <v>0</v>
      </c>
    </row>
    <row r="43" spans="1:14" ht="12.75">
      <c r="A43" s="5" t="s">
        <v>43</v>
      </c>
      <c r="B43" s="6">
        <f>J16*B28</f>
        <v>0</v>
      </c>
      <c r="C43" s="6">
        <f>J16*C28</f>
        <v>0</v>
      </c>
      <c r="D43" s="6">
        <f>J16*D28</f>
        <v>0</v>
      </c>
      <c r="E43" s="6">
        <f>J16*E28</f>
        <v>0</v>
      </c>
      <c r="F43" s="6">
        <f>J16*F28</f>
        <v>0</v>
      </c>
      <c r="G43" s="6">
        <f>J16*G28</f>
        <v>0</v>
      </c>
      <c r="H43" s="6">
        <f>J16*H28</f>
        <v>0</v>
      </c>
      <c r="I43" s="6">
        <f>J16*I28</f>
        <v>0</v>
      </c>
      <c r="J43" s="6">
        <f>J16*J28</f>
        <v>0</v>
      </c>
      <c r="K43" s="6">
        <f>J16*K28</f>
        <v>0</v>
      </c>
      <c r="L43" s="6">
        <f>J16*L28</f>
        <v>0</v>
      </c>
      <c r="M43" s="6">
        <f>J16*M28</f>
        <v>0</v>
      </c>
      <c r="N43" s="6">
        <f>J16*N28</f>
        <v>0</v>
      </c>
    </row>
    <row r="44" spans="1:14" ht="12.75">
      <c r="A44" s="13" t="s">
        <v>44</v>
      </c>
      <c r="B44" s="14">
        <f>K16*B29</f>
        <v>0</v>
      </c>
      <c r="C44" s="14">
        <f>K16*C29</f>
        <v>0</v>
      </c>
      <c r="D44" s="14">
        <f>K16*D29</f>
        <v>0</v>
      </c>
      <c r="E44" s="14">
        <f>K16*E29</f>
        <v>0</v>
      </c>
      <c r="F44" s="14">
        <f>K16*F29</f>
        <v>0</v>
      </c>
      <c r="G44" s="14">
        <f>K16*G29</f>
        <v>0</v>
      </c>
      <c r="H44" s="14">
        <f>K16*H29</f>
        <v>0</v>
      </c>
      <c r="I44" s="14">
        <f>K16*I29</f>
        <v>0</v>
      </c>
      <c r="J44" s="14">
        <f>K16*J29</f>
        <v>0</v>
      </c>
      <c r="K44" s="14">
        <f>K16*K29</f>
        <v>0</v>
      </c>
      <c r="L44" s="14">
        <f>K16*L29</f>
        <v>0</v>
      </c>
      <c r="M44" s="14">
        <f>K16*M29</f>
        <v>0</v>
      </c>
      <c r="N44" s="14">
        <f>K16*N29</f>
        <v>0</v>
      </c>
    </row>
    <row r="45" spans="1:14" ht="12.75">
      <c r="A45" s="9" t="s">
        <v>45</v>
      </c>
      <c r="B45" s="10">
        <f>L16*B30</f>
        <v>0</v>
      </c>
      <c r="C45" s="10">
        <f>L16*C30</f>
        <v>0</v>
      </c>
      <c r="D45" s="10">
        <f>L16*D30</f>
        <v>0</v>
      </c>
      <c r="E45" s="10">
        <f>L16*E30</f>
        <v>0</v>
      </c>
      <c r="F45" s="10">
        <f>L16*F30</f>
        <v>0</v>
      </c>
      <c r="G45" s="10">
        <f>L16*G30</f>
        <v>0</v>
      </c>
      <c r="H45" s="10">
        <f>L16*H30</f>
        <v>0</v>
      </c>
      <c r="I45" s="10">
        <f>L16*I30</f>
        <v>0</v>
      </c>
      <c r="J45" s="10">
        <f>L16*J30</f>
        <v>0</v>
      </c>
      <c r="K45" s="10">
        <f>L16*K30</f>
        <v>0</v>
      </c>
      <c r="L45" s="10">
        <f>L16*L30</f>
        <v>0</v>
      </c>
      <c r="M45" s="10">
        <f>L16*M30</f>
        <v>0</v>
      </c>
      <c r="N45" s="10">
        <f>L16*N30</f>
        <v>0</v>
      </c>
    </row>
    <row r="46" spans="1:14" ht="12.75">
      <c r="A46" s="15" t="s">
        <v>131</v>
      </c>
      <c r="B46" s="16">
        <f>M16*B31</f>
        <v>0</v>
      </c>
      <c r="C46" s="16">
        <f>M16*C31</f>
        <v>0</v>
      </c>
      <c r="D46" s="16">
        <f>M16*D31</f>
        <v>0</v>
      </c>
      <c r="E46" s="16">
        <f>M16*E31</f>
        <v>0</v>
      </c>
      <c r="F46" s="16">
        <f>M16*F31</f>
        <v>0</v>
      </c>
      <c r="G46" s="16">
        <f>M16*G31</f>
        <v>0</v>
      </c>
      <c r="H46" s="16">
        <f>M16*H31</f>
        <v>0</v>
      </c>
      <c r="I46" s="16">
        <f>M16*I31</f>
        <v>0</v>
      </c>
      <c r="J46" s="16">
        <f>M16*J31</f>
        <v>0</v>
      </c>
      <c r="K46" s="16">
        <f>M16*K31</f>
        <v>0</v>
      </c>
      <c r="L46" s="16">
        <f>M16*L31</f>
        <v>0</v>
      </c>
      <c r="M46" s="16">
        <f>M16*M31</f>
        <v>0</v>
      </c>
      <c r="N46" s="16">
        <f>M16*N31</f>
        <v>0</v>
      </c>
    </row>
    <row r="47" spans="1:14" ht="12.75">
      <c r="A47" s="5" t="s">
        <v>46</v>
      </c>
      <c r="B47" s="6">
        <f>N16*B32</f>
        <v>0</v>
      </c>
      <c r="C47" s="6">
        <f>N16*C32</f>
        <v>0</v>
      </c>
      <c r="D47" s="6">
        <f>N16*D32</f>
        <v>0</v>
      </c>
      <c r="E47" s="6">
        <f>N16*E32</f>
        <v>0</v>
      </c>
      <c r="F47" s="6">
        <f>N16*F32</f>
        <v>0</v>
      </c>
      <c r="G47" s="6">
        <f>N16*G32</f>
        <v>0</v>
      </c>
      <c r="H47" s="6">
        <f>N16*H32</f>
        <v>0</v>
      </c>
      <c r="I47" s="6">
        <f>N16*I32</f>
        <v>0</v>
      </c>
      <c r="J47" s="6">
        <f>N16*J32</f>
        <v>0</v>
      </c>
      <c r="K47" s="6">
        <f>N16*K32</f>
        <v>0</v>
      </c>
      <c r="L47" s="6">
        <f>N16*L32</f>
        <v>0</v>
      </c>
      <c r="M47" s="6">
        <f>N16*M32</f>
        <v>0</v>
      </c>
      <c r="N47" s="6">
        <f>N16*N32</f>
        <v>0</v>
      </c>
    </row>
    <row r="49" ht="12.75">
      <c r="A49" t="s">
        <v>68</v>
      </c>
    </row>
    <row r="53" ht="12.75">
      <c r="A53" t="s">
        <v>51</v>
      </c>
    </row>
    <row r="54" ht="12.75">
      <c r="A54" t="s">
        <v>139</v>
      </c>
    </row>
    <row r="55" ht="12.75">
      <c r="A55" t="s">
        <v>52</v>
      </c>
    </row>
    <row r="56" ht="12.75">
      <c r="A56" t="s">
        <v>53</v>
      </c>
    </row>
    <row r="57" ht="12.75">
      <c r="A57" t="s">
        <v>54</v>
      </c>
    </row>
    <row r="58" spans="1:14" ht="12.75">
      <c r="A58" s="18" t="s">
        <v>55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2.75">
      <c r="A59" s="18" t="s">
        <v>59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2.75">
      <c r="A60" s="19" t="s">
        <v>126</v>
      </c>
      <c r="B60" s="19"/>
      <c r="C60" s="19"/>
      <c r="D60" s="19"/>
      <c r="E60" s="19"/>
      <c r="F60" s="19"/>
      <c r="G60" s="19"/>
      <c r="H60" s="19"/>
      <c r="I60" s="18"/>
      <c r="J60" s="18"/>
      <c r="K60" s="18"/>
      <c r="L60" s="18"/>
      <c r="M60" s="18"/>
      <c r="N60" s="18"/>
    </row>
    <row r="61" spans="1:14" ht="12.75">
      <c r="A61" s="18" t="s">
        <v>56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2.75">
      <c r="A62" s="18" t="s">
        <v>57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>
      <c r="A63" s="18" t="s">
        <v>58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2.75">
      <c r="A64" s="18" t="s">
        <v>122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ht="12.75">
      <c r="A65" s="18" t="s">
        <v>60</v>
      </c>
    </row>
    <row r="66" ht="12.75">
      <c r="B66" t="s">
        <v>61</v>
      </c>
    </row>
    <row r="67" ht="12.75">
      <c r="A67" s="18" t="s">
        <v>132</v>
      </c>
    </row>
    <row r="68" ht="12.75">
      <c r="A68" s="18" t="s">
        <v>63</v>
      </c>
    </row>
    <row r="69" ht="12.75">
      <c r="A69" s="18" t="s">
        <v>66</v>
      </c>
    </row>
    <row r="70" ht="12.75">
      <c r="A70" s="18" t="s">
        <v>62</v>
      </c>
    </row>
    <row r="73" ht="12.75">
      <c r="A73" s="18" t="s">
        <v>70</v>
      </c>
    </row>
    <row r="74" spans="1:6" ht="12.75">
      <c r="A74" s="18" t="s">
        <v>123</v>
      </c>
      <c r="B74" s="18"/>
      <c r="C74" s="18"/>
      <c r="D74" s="18"/>
      <c r="E74" s="18"/>
      <c r="F74" s="18"/>
    </row>
    <row r="75" spans="1:6" ht="12.75">
      <c r="A75" t="s">
        <v>88</v>
      </c>
      <c r="B75" s="18"/>
      <c r="C75" s="18"/>
      <c r="D75" s="18"/>
      <c r="E75" s="18"/>
      <c r="F75" s="18"/>
    </row>
    <row r="76" ht="12.75">
      <c r="A76" t="s">
        <v>92</v>
      </c>
    </row>
    <row r="79" spans="2:4" ht="12.75">
      <c r="B79" t="s">
        <v>105</v>
      </c>
      <c r="C79" t="s">
        <v>98</v>
      </c>
      <c r="D79" t="s">
        <v>99</v>
      </c>
    </row>
    <row r="80" spans="2:5" ht="12.75">
      <c r="B80" t="s">
        <v>84</v>
      </c>
      <c r="C80" t="s">
        <v>91</v>
      </c>
      <c r="D80" t="s">
        <v>81</v>
      </c>
      <c r="E80" t="s">
        <v>83</v>
      </c>
    </row>
    <row r="82" spans="1:11" ht="12.75">
      <c r="A82" s="2" t="s">
        <v>0</v>
      </c>
      <c r="B82" s="2">
        <v>0.0965</v>
      </c>
      <c r="C82" s="2">
        <v>2500</v>
      </c>
      <c r="D82" s="2">
        <v>300</v>
      </c>
      <c r="E82" s="2">
        <f>(B82*C82)/(D82/100)</f>
        <v>80.41666666666667</v>
      </c>
      <c r="F82" s="2"/>
      <c r="G82" s="2"/>
      <c r="H82" s="2"/>
      <c r="I82" s="2"/>
      <c r="J82" s="2"/>
      <c r="K82" s="2"/>
    </row>
    <row r="83" spans="1:5" ht="12.75">
      <c r="A83" t="s">
        <v>71</v>
      </c>
      <c r="C83" s="4" t="s">
        <v>48</v>
      </c>
      <c r="D83">
        <v>99</v>
      </c>
      <c r="E83" s="1" t="s">
        <v>48</v>
      </c>
    </row>
    <row r="84" spans="1:5" ht="12.75">
      <c r="A84" t="s">
        <v>72</v>
      </c>
      <c r="C84" s="4" t="s">
        <v>48</v>
      </c>
      <c r="D84">
        <v>97</v>
      </c>
      <c r="E84" s="1" t="s">
        <v>48</v>
      </c>
    </row>
    <row r="85" spans="1:5" ht="12.75">
      <c r="A85" t="s">
        <v>78</v>
      </c>
      <c r="C85" s="4" t="s">
        <v>48</v>
      </c>
      <c r="D85">
        <v>200</v>
      </c>
      <c r="E85" s="1" t="s">
        <v>48</v>
      </c>
    </row>
    <row r="86" spans="1:5" ht="12.75">
      <c r="A86" t="s">
        <v>133</v>
      </c>
      <c r="C86" s="4" t="s">
        <v>48</v>
      </c>
      <c r="D86">
        <v>300</v>
      </c>
      <c r="E86" s="1" t="s">
        <v>48</v>
      </c>
    </row>
    <row r="87" spans="3:5" ht="12.75">
      <c r="C87" s="4"/>
      <c r="E87" s="1"/>
    </row>
    <row r="88" spans="1:11" ht="12.75">
      <c r="A88" s="2" t="s">
        <v>85</v>
      </c>
      <c r="B88" s="2">
        <v>2.04</v>
      </c>
      <c r="C88" s="10">
        <v>61.8</v>
      </c>
      <c r="D88" s="2">
        <v>89</v>
      </c>
      <c r="E88" s="2">
        <f>(B88*C88)*(D88/100)</f>
        <v>112.20408</v>
      </c>
      <c r="F88" s="2"/>
      <c r="G88" s="2"/>
      <c r="H88" s="2"/>
      <c r="I88" s="2"/>
      <c r="J88" s="2"/>
      <c r="K88" s="2"/>
    </row>
    <row r="89" spans="1:5" ht="12.75">
      <c r="A89" t="s">
        <v>100</v>
      </c>
      <c r="C89" s="4"/>
      <c r="D89">
        <v>80</v>
      </c>
      <c r="E89" s="1"/>
    </row>
    <row r="90" spans="1:5" ht="12.75">
      <c r="A90" t="s">
        <v>82</v>
      </c>
      <c r="C90" s="4"/>
      <c r="D90">
        <v>89</v>
      </c>
      <c r="E90" s="1"/>
    </row>
    <row r="91" spans="1:5" ht="12.75">
      <c r="A91" t="s">
        <v>73</v>
      </c>
      <c r="C91" s="4"/>
      <c r="D91">
        <v>98</v>
      </c>
      <c r="E91" s="1"/>
    </row>
    <row r="92" spans="3:5" ht="12.75">
      <c r="C92" s="4"/>
      <c r="E92" s="1"/>
    </row>
    <row r="93" spans="1:11" ht="12.75">
      <c r="A93" s="2" t="s">
        <v>86</v>
      </c>
      <c r="B93" s="2">
        <v>2.01</v>
      </c>
      <c r="C93" s="10">
        <v>93.1</v>
      </c>
      <c r="D93" s="2">
        <v>99</v>
      </c>
      <c r="E93" s="2">
        <f>(B93*C93)*(D93/100)</f>
        <v>185.25968999999998</v>
      </c>
      <c r="F93" s="2"/>
      <c r="G93" s="2"/>
      <c r="H93" s="2"/>
      <c r="I93" s="2"/>
      <c r="J93" s="2"/>
      <c r="K93" s="2"/>
    </row>
    <row r="94" spans="1:5" ht="12.75">
      <c r="A94" t="s">
        <v>76</v>
      </c>
      <c r="C94" s="4"/>
      <c r="D94">
        <v>78</v>
      </c>
      <c r="E94" s="1"/>
    </row>
    <row r="95" spans="1:5" ht="12.75">
      <c r="A95" t="s">
        <v>77</v>
      </c>
      <c r="C95" s="4"/>
      <c r="D95">
        <v>97</v>
      </c>
      <c r="E95" s="1"/>
    </row>
    <row r="96" spans="1:5" ht="12.75">
      <c r="A96" t="s">
        <v>74</v>
      </c>
      <c r="C96" s="4"/>
      <c r="D96">
        <v>99</v>
      </c>
      <c r="E96" s="1"/>
    </row>
    <row r="97" spans="1:5" ht="12.75">
      <c r="A97" t="s">
        <v>89</v>
      </c>
      <c r="C97" s="4"/>
      <c r="D97">
        <v>65</v>
      </c>
      <c r="E97" s="1"/>
    </row>
    <row r="98" spans="3:5" ht="12.75">
      <c r="C98" s="4"/>
      <c r="E98" s="1"/>
    </row>
    <row r="99" spans="1:11" ht="12.75">
      <c r="A99" s="2" t="s">
        <v>87</v>
      </c>
      <c r="B99" s="2">
        <v>1.69</v>
      </c>
      <c r="C99" s="10">
        <v>82.8</v>
      </c>
      <c r="D99" s="2">
        <v>99</v>
      </c>
      <c r="E99" s="2">
        <f>(B99*C99)*(D99/100)</f>
        <v>138.53268</v>
      </c>
      <c r="F99" s="2"/>
      <c r="G99" s="2"/>
      <c r="H99" s="2"/>
      <c r="I99" s="2"/>
      <c r="J99" s="2"/>
      <c r="K99" s="2"/>
    </row>
    <row r="100" spans="1:5" ht="12.75">
      <c r="A100" t="s">
        <v>75</v>
      </c>
      <c r="C100" s="4"/>
      <c r="D100">
        <v>78</v>
      </c>
      <c r="E100" s="1"/>
    </row>
    <row r="101" spans="1:5" ht="12.75">
      <c r="A101" t="s">
        <v>79</v>
      </c>
      <c r="C101" s="4"/>
      <c r="D101">
        <v>97</v>
      </c>
      <c r="E101" s="1"/>
    </row>
    <row r="102" spans="1:5" ht="12.75">
      <c r="A102" t="s">
        <v>80</v>
      </c>
      <c r="C102" s="4"/>
      <c r="D102">
        <v>99</v>
      </c>
      <c r="E102" s="1"/>
    </row>
    <row r="103" spans="1:4" ht="12.75">
      <c r="A103" t="s">
        <v>90</v>
      </c>
      <c r="D103">
        <v>65</v>
      </c>
    </row>
    <row r="105" ht="12.75">
      <c r="A105" t="s">
        <v>93</v>
      </c>
    </row>
    <row r="106" ht="12.75">
      <c r="A106" t="s">
        <v>94</v>
      </c>
    </row>
    <row r="107" ht="12.75">
      <c r="A107" t="s">
        <v>95</v>
      </c>
    </row>
    <row r="108" ht="12.75">
      <c r="A108" t="s">
        <v>134</v>
      </c>
    </row>
    <row r="110" ht="12.75">
      <c r="A110" t="s">
        <v>96</v>
      </c>
    </row>
    <row r="111" ht="12.75">
      <c r="A111" t="s">
        <v>124</v>
      </c>
    </row>
    <row r="112" ht="12.75">
      <c r="A112" t="s">
        <v>97</v>
      </c>
    </row>
    <row r="114" ht="12.75">
      <c r="A114" t="s">
        <v>125</v>
      </c>
    </row>
    <row r="115" ht="12.75">
      <c r="A115" t="s">
        <v>101</v>
      </c>
    </row>
    <row r="116" ht="12.75">
      <c r="A116" t="s">
        <v>102</v>
      </c>
    </row>
    <row r="117" ht="12.75">
      <c r="A117" t="s">
        <v>103</v>
      </c>
    </row>
    <row r="118" ht="12.75">
      <c r="A118" t="s">
        <v>135</v>
      </c>
    </row>
    <row r="119" ht="12.75">
      <c r="A119" t="s">
        <v>104</v>
      </c>
    </row>
    <row r="122" ht="12.75">
      <c r="A122" t="s">
        <v>114</v>
      </c>
    </row>
    <row r="123" ht="12.75">
      <c r="A123" t="s">
        <v>120</v>
      </c>
    </row>
    <row r="125" spans="1:2" ht="12.75">
      <c r="A125" s="18" t="s">
        <v>106</v>
      </c>
      <c r="B125" s="18"/>
    </row>
    <row r="126" spans="1:2" ht="12.75">
      <c r="A126" s="18"/>
      <c r="B126" s="18"/>
    </row>
    <row r="127" spans="1:14" ht="12.75">
      <c r="A127" s="23" t="s">
        <v>48</v>
      </c>
      <c r="B127" s="23"/>
      <c r="C127" s="23"/>
      <c r="D127" s="23" t="s">
        <v>117</v>
      </c>
      <c r="E127" s="23"/>
      <c r="F127" s="23" t="s">
        <v>118</v>
      </c>
      <c r="G127" s="23"/>
      <c r="H127" s="23" t="s">
        <v>119</v>
      </c>
      <c r="I127" s="23"/>
      <c r="J127" s="23"/>
      <c r="K127" s="23" t="s">
        <v>121</v>
      </c>
      <c r="L127" s="23"/>
      <c r="M127" s="23"/>
      <c r="N127" s="23"/>
    </row>
    <row r="128" spans="1:14" ht="12.75">
      <c r="A128" s="23" t="s">
        <v>111</v>
      </c>
      <c r="B128" s="23" t="s">
        <v>48</v>
      </c>
      <c r="C128" s="23" t="s">
        <v>108</v>
      </c>
      <c r="D128" s="23" t="s">
        <v>107</v>
      </c>
      <c r="E128" s="23"/>
      <c r="F128" s="23" t="s">
        <v>112</v>
      </c>
      <c r="G128" s="23"/>
      <c r="H128" s="23" t="s">
        <v>115</v>
      </c>
      <c r="I128" s="23" t="s">
        <v>117</v>
      </c>
      <c r="J128" s="23"/>
      <c r="K128" s="23" t="s">
        <v>115</v>
      </c>
      <c r="L128" s="23" t="s">
        <v>117</v>
      </c>
      <c r="M128" s="23"/>
      <c r="N128" s="23"/>
    </row>
    <row r="129" spans="1:14" ht="12.75">
      <c r="A129" s="23" t="s">
        <v>110</v>
      </c>
      <c r="B129" s="23" t="s">
        <v>48</v>
      </c>
      <c r="C129" s="23" t="s">
        <v>109</v>
      </c>
      <c r="D129" s="23" t="s">
        <v>109</v>
      </c>
      <c r="E129" s="23"/>
      <c r="F129" s="23" t="s">
        <v>113</v>
      </c>
      <c r="G129" s="23"/>
      <c r="H129" s="23" t="s">
        <v>116</v>
      </c>
      <c r="I129" s="23" t="s">
        <v>116</v>
      </c>
      <c r="J129" s="23"/>
      <c r="K129" s="23" t="s">
        <v>116</v>
      </c>
      <c r="L129" s="23" t="s">
        <v>116</v>
      </c>
      <c r="M129" s="23"/>
      <c r="N129" s="23"/>
    </row>
    <row r="130" spans="1:14" ht="12.75">
      <c r="A130" s="24">
        <v>176</v>
      </c>
      <c r="B130" s="24"/>
      <c r="C130" s="24">
        <f>A130*300</f>
        <v>52800</v>
      </c>
      <c r="D130" s="24">
        <f>A130*468</f>
        <v>82368</v>
      </c>
      <c r="E130" s="24"/>
      <c r="F130" s="24">
        <v>5</v>
      </c>
      <c r="G130" s="24"/>
      <c r="H130" s="24">
        <f>C130*F130</f>
        <v>264000</v>
      </c>
      <c r="I130" s="24">
        <f>D130*F130</f>
        <v>411840</v>
      </c>
      <c r="J130" s="24"/>
      <c r="K130" s="24">
        <f>H130*30</f>
        <v>7920000</v>
      </c>
      <c r="L130" s="24">
        <f>I130*30</f>
        <v>12355200</v>
      </c>
      <c r="M130" s="24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</sheetData>
  <printOptions/>
  <pageMargins left="0.75" right="0.75" top="1" bottom="1" header="0.5" footer="0.5"/>
  <pageSetup fitToHeight="3" fitToWidth="1" horizontalDpi="600" verticalDpi="6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BTU Conversion</dc:title>
  <dc:subject/>
  <dc:creator>Michael Mays</dc:creator>
  <cp:keywords/>
  <dc:description/>
  <cp:lastModifiedBy>MMays</cp:lastModifiedBy>
  <cp:lastPrinted>2007-03-11T17:39:08Z</cp:lastPrinted>
  <dcterms:created xsi:type="dcterms:W3CDTF">2007-02-05T14:02:32Z</dcterms:created>
  <dcterms:modified xsi:type="dcterms:W3CDTF">2008-02-01T11:09:09Z</dcterms:modified>
  <cp:category/>
  <cp:version/>
  <cp:contentType/>
  <cp:contentStatus/>
</cp:coreProperties>
</file>